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7795" windowHeight="14190"/>
  </bookViews>
  <sheets>
    <sheet name="Proton reduction" sheetId="2" r:id="rId1"/>
  </sheets>
  <definedNames>
    <definedName name="_ENREF_1" localSheetId="0">'Proton reduction'!#REF!</definedName>
    <definedName name="_ENREF_2" localSheetId="0">'Proton reduction'!#REF!</definedName>
    <definedName name="_ENREF_3" localSheetId="0">'Proton reduction'!#REF!</definedName>
    <definedName name="_ENREF_4" localSheetId="0">'Proton reduction'!#REF!</definedName>
  </definedNames>
  <calcPr calcId="145621"/>
</workbook>
</file>

<file path=xl/calcChain.xml><?xml version="1.0" encoding="utf-8"?>
<calcChain xmlns="http://schemas.openxmlformats.org/spreadsheetml/2006/main">
  <c r="G89" i="2" l="1"/>
  <c r="J128" i="2"/>
  <c r="G21" i="2"/>
  <c r="G22" i="2"/>
  <c r="G31" i="2"/>
  <c r="G32" i="2"/>
  <c r="J126" i="2"/>
  <c r="J127" i="2"/>
  <c r="H34" i="2" l="1"/>
  <c r="H35" i="2" s="1"/>
  <c r="H38" i="2" s="1"/>
  <c r="G91" i="2" s="1"/>
  <c r="H24" i="2"/>
  <c r="H25" i="2" s="1"/>
  <c r="H28" i="2" s="1"/>
  <c r="G99" i="2"/>
  <c r="L136" i="2" l="1"/>
  <c r="H141" i="2" l="1"/>
  <c r="H148" i="2" s="1"/>
  <c r="I148" i="2" s="1"/>
  <c r="M136" i="2"/>
  <c r="N136" i="2"/>
  <c r="O136" i="2"/>
  <c r="P136" i="2"/>
  <c r="Q136" i="2"/>
  <c r="R136" i="2"/>
  <c r="S136" i="2"/>
  <c r="K136" i="2"/>
  <c r="L118" i="2"/>
  <c r="L119" i="2" s="1"/>
  <c r="L108" i="2"/>
  <c r="L109" i="2" s="1"/>
  <c r="L96" i="2"/>
  <c r="L97" i="2" s="1"/>
  <c r="L57" i="2"/>
  <c r="L58" i="2" s="1"/>
  <c r="L69" i="2"/>
  <c r="L70" i="2" s="1"/>
  <c r="L79" i="2"/>
  <c r="L80" i="2"/>
  <c r="L10" i="2"/>
  <c r="G75" i="2" s="1"/>
  <c r="L9" i="2"/>
  <c r="G65" i="2" s="1"/>
  <c r="G103" i="2" l="1"/>
  <c r="G94" i="2"/>
  <c r="H142" i="2"/>
  <c r="I141" i="2"/>
  <c r="H143" i="2"/>
  <c r="G104" i="2"/>
  <c r="G114" i="2"/>
  <c r="G113" i="2"/>
  <c r="G50" i="2"/>
  <c r="G59" i="2" l="1"/>
  <c r="F141" i="2" s="1"/>
  <c r="G55" i="2"/>
  <c r="I143" i="2"/>
  <c r="H150" i="2"/>
  <c r="I150" i="2" s="1"/>
  <c r="H149" i="2"/>
  <c r="I149" i="2" s="1"/>
  <c r="I142" i="2"/>
  <c r="G141" i="2"/>
  <c r="K141" i="2" s="1"/>
  <c r="G98" i="2"/>
  <c r="G63" i="2" l="1"/>
  <c r="G67" i="2" s="1"/>
  <c r="G73" i="2"/>
  <c r="G77" i="2" s="1"/>
  <c r="N141" i="2"/>
  <c r="P141" i="2"/>
  <c r="Q141" i="2"/>
  <c r="M141" i="2"/>
  <c r="R141" i="2"/>
  <c r="L141" i="2"/>
  <c r="S141" i="2"/>
  <c r="O141" i="2"/>
  <c r="P161" i="2"/>
  <c r="F148" i="2"/>
  <c r="G148" i="2" s="1"/>
  <c r="G102" i="2"/>
  <c r="G106" i="2" s="1"/>
  <c r="G109" i="2" s="1"/>
  <c r="G112" i="2"/>
  <c r="G116" i="2" s="1"/>
  <c r="P165" i="2" l="1"/>
  <c r="P169" i="2"/>
  <c r="G108" i="2"/>
  <c r="F149" i="2" s="1"/>
  <c r="G149" i="2" s="1"/>
  <c r="G79" i="2"/>
  <c r="F143" i="2" s="1"/>
  <c r="G69" i="2"/>
  <c r="F142" i="2" s="1"/>
  <c r="L148" i="2"/>
  <c r="L153" i="2" s="1"/>
  <c r="N148" i="2"/>
  <c r="N153" i="2" s="1"/>
  <c r="P148" i="2"/>
  <c r="P153" i="2" s="1"/>
  <c r="R148" i="2"/>
  <c r="R153" i="2" s="1"/>
  <c r="M148" i="2"/>
  <c r="M153" i="2" s="1"/>
  <c r="O148" i="2"/>
  <c r="O153" i="2" s="1"/>
  <c r="Q148" i="2"/>
  <c r="Q153" i="2" s="1"/>
  <c r="S148" i="2"/>
  <c r="S153" i="2" s="1"/>
  <c r="K148" i="2"/>
  <c r="K153" i="2" s="1"/>
  <c r="G118" i="2"/>
  <c r="F150" i="2" s="1"/>
  <c r="G150" i="2" s="1"/>
  <c r="G119" i="2"/>
  <c r="G143" i="2" l="1"/>
  <c r="K143" i="2" s="1"/>
  <c r="G142" i="2"/>
  <c r="K142" i="2" s="1"/>
  <c r="P162" i="2" s="1"/>
  <c r="R161" i="2"/>
  <c r="Q161" i="2"/>
  <c r="O142" i="2"/>
  <c r="S142" i="2"/>
  <c r="Q143" i="2"/>
  <c r="R143" i="2"/>
  <c r="S143" i="2"/>
  <c r="P143" i="2"/>
  <c r="M143" i="2"/>
  <c r="N143" i="2"/>
  <c r="O143" i="2"/>
  <c r="L143" i="2"/>
  <c r="L149" i="2"/>
  <c r="N149" i="2"/>
  <c r="P149" i="2"/>
  <c r="R149" i="2"/>
  <c r="K149" i="2"/>
  <c r="M149" i="2"/>
  <c r="O149" i="2"/>
  <c r="Q149" i="2"/>
  <c r="S149" i="2"/>
  <c r="Q142" i="2" l="1"/>
  <c r="Q154" i="2" s="1"/>
  <c r="M142" i="2"/>
  <c r="M154" i="2" s="1"/>
  <c r="S154" i="2"/>
  <c r="O154" i="2"/>
  <c r="R142" i="2"/>
  <c r="P142" i="2"/>
  <c r="P154" i="2" s="1"/>
  <c r="N142" i="2"/>
  <c r="L142" i="2"/>
  <c r="L154" i="2" s="1"/>
  <c r="R154" i="2"/>
  <c r="N154" i="2"/>
  <c r="K154" i="2"/>
  <c r="R162" i="2" s="1"/>
  <c r="P166" i="2"/>
  <c r="P170" i="2"/>
  <c r="Q169" i="2"/>
  <c r="Q165" i="2"/>
  <c r="R165" i="2"/>
  <c r="R169" i="2"/>
  <c r="Q162" i="2"/>
  <c r="M150" i="2"/>
  <c r="M155" i="2" s="1"/>
  <c r="O150" i="2"/>
  <c r="O155" i="2" s="1"/>
  <c r="Q150" i="2"/>
  <c r="Q155" i="2" s="1"/>
  <c r="S150" i="2"/>
  <c r="S155" i="2" s="1"/>
  <c r="L150" i="2"/>
  <c r="L155" i="2" s="1"/>
  <c r="N150" i="2"/>
  <c r="N155" i="2" s="1"/>
  <c r="P150" i="2"/>
  <c r="P155" i="2" s="1"/>
  <c r="R150" i="2"/>
  <c r="R155" i="2" s="1"/>
  <c r="K150" i="2"/>
  <c r="K155" i="2" s="1"/>
  <c r="Q166" i="2" l="1"/>
  <c r="Q170" i="2"/>
  <c r="R166" i="2"/>
  <c r="R170" i="2"/>
</calcChain>
</file>

<file path=xl/sharedStrings.xml><?xml version="1.0" encoding="utf-8"?>
<sst xmlns="http://schemas.openxmlformats.org/spreadsheetml/2006/main" count="165" uniqueCount="68">
  <si>
    <t>F</t>
  </si>
  <si>
    <t>kJ</t>
  </si>
  <si>
    <t>mV</t>
  </si>
  <si>
    <t>V</t>
  </si>
  <si>
    <t>H+/H2</t>
  </si>
  <si>
    <t>NAD+/NADH</t>
  </si>
  <si>
    <t>n</t>
  </si>
  <si>
    <t>M</t>
  </si>
  <si>
    <t>mM</t>
  </si>
  <si>
    <t>uM</t>
  </si>
  <si>
    <r>
      <t>ΔG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>′</t>
    </r>
  </si>
  <si>
    <t>T</t>
  </si>
  <si>
    <t>R gas constant (J/mol*K)</t>
  </si>
  <si>
    <t>H2 (aq), 298.15 K</t>
  </si>
  <si>
    <t>H2 (aq), 343.15 K</t>
  </si>
  <si>
    <r>
      <t>25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</si>
  <si>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r>
      <t>70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</si>
  <si>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t>NADH/NAD+</t>
  </si>
  <si>
    <r>
      <t>E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'</t>
    </r>
  </si>
  <si>
    <r>
      <t>Fd</t>
    </r>
    <r>
      <rPr>
        <vertAlign val="subscript"/>
        <sz val="11"/>
        <color theme="1"/>
        <rFont val="Calibri"/>
        <family val="2"/>
        <scheme val="minor"/>
      </rPr>
      <t>ox</t>
    </r>
    <r>
      <rPr>
        <sz val="11"/>
        <color theme="1"/>
        <rFont val="Calibri"/>
        <family val="2"/>
        <scheme val="minor"/>
      </rPr>
      <t>/Fd</t>
    </r>
    <r>
      <rPr>
        <vertAlign val="subscript"/>
        <sz val="11"/>
        <color theme="1"/>
        <rFont val="Calibri"/>
        <family val="2"/>
        <scheme val="minor"/>
      </rPr>
      <t>red</t>
    </r>
  </si>
  <si>
    <r>
      <t>(25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C, pH7)</t>
    </r>
  </si>
  <si>
    <t xml:space="preserve">enthalpie </t>
  </si>
  <si>
    <r>
      <t>ΔG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= ΔH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-TΔS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</t>
    </r>
  </si>
  <si>
    <r>
      <t>ΔH</t>
    </r>
    <r>
      <rPr>
        <vertAlign val="superscript"/>
        <sz val="11"/>
        <color theme="1"/>
        <rFont val="Calibri"/>
        <family val="2"/>
        <scheme val="minor"/>
      </rPr>
      <t>o</t>
    </r>
  </si>
  <si>
    <r>
      <t>Fd</t>
    </r>
    <r>
      <rPr>
        <vertAlign val="subscript"/>
        <sz val="11"/>
        <color theme="1"/>
        <rFont val="Calibri"/>
        <family val="2"/>
        <scheme val="minor"/>
      </rPr>
      <t xml:space="preserve">ox </t>
    </r>
    <r>
      <rPr>
        <sz val="11"/>
        <color theme="1"/>
        <rFont val="Calibri"/>
        <family val="2"/>
        <scheme val="minor"/>
      </rPr>
      <t>+ 1/2 H2 = Fd</t>
    </r>
    <r>
      <rPr>
        <vertAlign val="subscript"/>
        <sz val="11"/>
        <color theme="1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+ H+</t>
    </r>
  </si>
  <si>
    <r>
      <t>ΔG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 </t>
    </r>
  </si>
  <si>
    <r>
      <t>ΔH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</t>
    </r>
  </si>
  <si>
    <r>
      <t>ΔS</t>
    </r>
    <r>
      <rPr>
        <vertAlign val="superscript"/>
        <sz val="10"/>
        <rFont val="Arial"/>
        <family val="2"/>
      </rPr>
      <t>o</t>
    </r>
    <r>
      <rPr>
        <sz val="10"/>
        <rFont val="Arial"/>
        <family val="2"/>
      </rPr>
      <t xml:space="preserve"> </t>
    </r>
  </si>
  <si>
    <r>
      <t>(25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C)</t>
    </r>
  </si>
  <si>
    <r>
      <t>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′ = 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+ RT ln([H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]).</t>
    </r>
  </si>
  <si>
    <r>
      <t>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′</t>
    </r>
  </si>
  <si>
    <t>K</t>
  </si>
  <si>
    <t>pH</t>
  </si>
  <si>
    <t>[H+]</t>
  </si>
  <si>
    <r>
      <t>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′ = ΔG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+ </t>
    </r>
    <r>
      <rPr>
        <sz val="11"/>
        <color theme="1"/>
        <rFont val="Calibri"/>
        <family val="2"/>
      </rPr>
      <t>ƲH</t>
    </r>
    <r>
      <rPr>
        <vertAlign val="superscript"/>
        <sz val="11"/>
        <color theme="1"/>
        <rFont val="Calibri"/>
        <family val="2"/>
      </rPr>
      <t>+</t>
    </r>
    <r>
      <rPr>
        <sz val="11"/>
        <color theme="1"/>
        <rFont val="Calibri"/>
        <family val="2"/>
      </rPr>
      <t>G</t>
    </r>
    <r>
      <rPr>
        <vertAlign val="subscript"/>
        <sz val="11"/>
        <color theme="1"/>
        <rFont val="Calibri"/>
        <family val="2"/>
      </rPr>
      <t>n</t>
    </r>
  </si>
  <si>
    <t>Gn</t>
  </si>
  <si>
    <t xml:space="preserve">pH neutrality </t>
  </si>
  <si>
    <r>
      <t>(70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C)</t>
    </r>
  </si>
  <si>
    <r>
      <t>(100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C)</t>
    </r>
  </si>
  <si>
    <t>at neutrality</t>
  </si>
  <si>
    <t>RT kJ/mol)</t>
  </si>
  <si>
    <t>Intercepts</t>
  </si>
  <si>
    <t>LN(x)</t>
  </si>
  <si>
    <t>NADH, 0</t>
  </si>
  <si>
    <t>Fd, 0</t>
  </si>
  <si>
    <t>Bifuration, 0</t>
  </si>
  <si>
    <t>Bifucrating system</t>
  </si>
  <si>
    <r>
      <t>1/2NADH + 3/2H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 Fdred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= Fdox + 1/2NAD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.</t>
    </r>
  </si>
  <si>
    <r>
      <t>2Fd</t>
    </r>
    <r>
      <rPr>
        <vertAlign val="subscript"/>
        <sz val="11"/>
        <color theme="1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+ 2H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= 2Fd</t>
    </r>
    <r>
      <rPr>
        <vertAlign val="subscript"/>
        <sz val="11"/>
        <color theme="1"/>
        <rFont val="Calibri"/>
        <family val="2"/>
        <scheme val="minor"/>
      </rPr>
      <t xml:space="preserve">ox </t>
    </r>
    <r>
      <rPr>
        <sz val="11"/>
        <color theme="1"/>
        <rFont val="Calibri"/>
        <family val="2"/>
        <scheme val="minor"/>
      </rPr>
      <t>+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 </t>
    </r>
  </si>
  <si>
    <r>
      <t>NADH + H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 =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+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</si>
  <si>
    <r>
      <t>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formation </t>
    </r>
  </si>
  <si>
    <r>
      <t>2Fd</t>
    </r>
    <r>
      <rPr>
        <vertAlign val="subscript"/>
        <sz val="11"/>
        <color theme="1"/>
        <rFont val="Calibri"/>
        <family val="2"/>
        <scheme val="minor"/>
      </rPr>
      <t xml:space="preserve">ox </t>
    </r>
    <r>
      <rPr>
        <sz val="11"/>
        <color theme="1"/>
        <rFont val="Calibri"/>
        <family val="2"/>
        <scheme val="minor"/>
      </rPr>
      <t>+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=2Fd</t>
    </r>
    <r>
      <rPr>
        <vertAlign val="subscript"/>
        <sz val="11"/>
        <color theme="1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+ 2H</t>
    </r>
    <r>
      <rPr>
        <vertAlign val="superscript"/>
        <sz val="11"/>
        <color theme="1"/>
        <rFont val="Calibri"/>
        <family val="2"/>
        <scheme val="minor"/>
      </rPr>
      <t>+</t>
    </r>
  </si>
  <si>
    <r>
      <rPr>
        <sz val="11"/>
        <color theme="1"/>
        <rFont val="Calibri"/>
        <family val="2"/>
        <scheme val="minor"/>
      </rPr>
      <t>from</t>
    </r>
    <r>
      <rPr>
        <b/>
        <sz val="11"/>
        <color theme="1"/>
        <rFont val="Calibri"/>
        <family val="2"/>
        <scheme val="minor"/>
      </rPr>
      <t xml:space="preserve"> Burton 1974</t>
    </r>
  </si>
  <si>
    <r>
      <t>100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</si>
  <si>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r>
      <rPr>
        <sz val="11"/>
        <color theme="1"/>
        <rFont val="Calibri"/>
        <family val="2"/>
        <scheme val="minor"/>
      </rPr>
      <t>from</t>
    </r>
    <r>
      <rPr>
        <b/>
        <sz val="11"/>
        <color theme="1"/>
        <rFont val="Calibri"/>
        <family val="2"/>
        <scheme val="minor"/>
      </rPr>
      <t xml:space="preserve"> Amend shock 2001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</si>
  <si>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(g)</t>
    </r>
  </si>
  <si>
    <r>
      <t>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(aq)</t>
    </r>
  </si>
  <si>
    <r>
      <rPr>
        <sz val="11"/>
        <color theme="1"/>
        <rFont val="Calibri"/>
        <family val="2"/>
        <scheme val="minor"/>
      </rPr>
      <t xml:space="preserve">from </t>
    </r>
    <r>
      <rPr>
        <b/>
        <sz val="11"/>
        <color theme="1"/>
        <rFont val="Calibri"/>
        <family val="2"/>
        <scheme val="minor"/>
      </rPr>
      <t>Watt 1975</t>
    </r>
  </si>
  <si>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C</t>
    </r>
  </si>
  <si>
    <t>diff</t>
  </si>
  <si>
    <r>
      <rPr>
        <sz val="11"/>
        <color theme="1"/>
        <rFont val="Calibri"/>
        <family val="2"/>
        <scheme val="minor"/>
      </rPr>
      <t xml:space="preserve">from </t>
    </r>
    <r>
      <rPr>
        <b/>
        <sz val="11"/>
        <color theme="1"/>
        <rFont val="Calibri"/>
        <family val="2"/>
        <scheme val="minor"/>
      </rPr>
      <t>Thauer 1977 (</t>
    </r>
    <r>
      <rPr>
        <sz val="11"/>
        <color theme="1"/>
        <rFont val="Calibri"/>
        <family val="2"/>
        <scheme val="minor"/>
      </rPr>
      <t>-400mV</t>
    </r>
    <r>
      <rPr>
        <b/>
        <sz val="11"/>
        <color theme="1"/>
        <rFont val="Calibri"/>
        <family val="2"/>
        <scheme val="minor"/>
      </rPr>
      <t>), Amend shock 2001 (</t>
    </r>
    <r>
      <rPr>
        <sz val="11"/>
        <color theme="1"/>
        <rFont val="Calibri"/>
        <family val="2"/>
        <scheme val="minor"/>
      </rPr>
      <t>25oC, pH7</t>
    </r>
    <r>
      <rPr>
        <b/>
        <sz val="11"/>
        <color theme="1"/>
        <rFont val="Calibri"/>
        <family val="2"/>
        <scheme val="minor"/>
      </rPr>
      <t>))</t>
    </r>
  </si>
  <si>
    <t>Gibbs reaction energy at different Temps.</t>
  </si>
  <si>
    <r>
      <t>Gibbs reaction energy at different 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concentrations</t>
    </r>
  </si>
  <si>
    <t xml:space="preserve">Gibbs reaction energy </t>
  </si>
  <si>
    <r>
      <t>Transformation 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(g) = 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(aq)</t>
    </r>
  </si>
  <si>
    <r>
      <t>Gibbs reaction energy of proton reduction by NADH or Fd</t>
    </r>
    <r>
      <rPr>
        <b/>
        <vertAlign val="subscript"/>
        <sz val="12"/>
        <color theme="1"/>
        <rFont val="Calibri"/>
        <family val="2"/>
        <scheme val="minor"/>
      </rPr>
      <t>red</t>
    </r>
    <r>
      <rPr>
        <b/>
        <sz val="12"/>
        <color theme="1"/>
        <rFont val="Calibri"/>
        <family val="2"/>
        <scheme val="minor"/>
      </rPr>
      <t xml:space="preserve"> as a function of H</t>
    </r>
    <r>
      <rPr>
        <b/>
        <vertAlign val="subscript"/>
        <sz val="12"/>
        <color theme="1"/>
        <rFont val="Calibri"/>
        <family val="2"/>
        <scheme val="minor"/>
      </rPr>
      <t xml:space="preserve">2 </t>
    </r>
    <r>
      <rPr>
        <b/>
        <sz val="12"/>
        <color theme="1"/>
        <rFont val="Calibri"/>
        <family val="2"/>
        <scheme val="minor"/>
      </rPr>
      <t>concentration and temperature</t>
    </r>
  </si>
  <si>
    <r>
      <rPr>
        <sz val="11"/>
        <color theme="1"/>
        <rFont val="Calibri"/>
        <family val="2"/>
        <scheme val="minor"/>
      </rPr>
      <t xml:space="preserve">from </t>
    </r>
    <r>
      <rPr>
        <b/>
        <sz val="11"/>
        <color theme="1"/>
        <rFont val="Calibri"/>
        <family val="2"/>
        <scheme val="minor"/>
      </rPr>
      <t>Thauer 1977</t>
    </r>
  </si>
  <si>
    <t>Faraday constant (J)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</si>
</sst>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vertAlign val="superscript"/>
      <sz val="10"/>
      <name val="Arial"/>
      <family val="2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1"/>
      <color theme="4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Border="1"/>
    <xf numFmtId="0" fontId="4" fillId="0" borderId="0" xfId="0" applyFont="1"/>
    <xf numFmtId="0" fontId="0" fillId="0" borderId="2" xfId="0" applyBorder="1"/>
    <xf numFmtId="0" fontId="0" fillId="0" borderId="1" xfId="0" applyBorder="1"/>
    <xf numFmtId="0" fontId="0" fillId="0" borderId="0" xfId="0" applyBorder="1"/>
    <xf numFmtId="0" fontId="4" fillId="0" borderId="0" xfId="0" applyFont="1" applyBorder="1"/>
    <xf numFmtId="0" fontId="9" fillId="0" borderId="0" xfId="0" applyFont="1"/>
    <xf numFmtId="164" fontId="0" fillId="0" borderId="0" xfId="0" applyNumberForma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600751571543641"/>
          <c:y val="5.1400554097404488E-2"/>
          <c:w val="0.74156892877873637"/>
          <c:h val="0.7770640128317293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'Proton reduction'!$H$141</c:f>
              <c:strCache>
                <c:ptCount val="1"/>
                <c:pt idx="0">
                  <c:v>298.15</c:v>
                </c:pt>
              </c:strCache>
            </c:strRef>
          </c:tx>
          <c:spPr>
            <a:ln>
              <a:solidFill>
                <a:schemeClr val="tx1"/>
              </a:solidFill>
              <a:prstDash val="sysDot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reduction'!$K$141:$P$141</c:f>
              <c:numCache>
                <c:formatCode>General</c:formatCode>
                <c:ptCount val="6"/>
                <c:pt idx="0">
                  <c:v>35.865244027704307</c:v>
                </c:pt>
                <c:pt idx="1">
                  <c:v>30.157234880889405</c:v>
                </c:pt>
                <c:pt idx="2">
                  <c:v>24.449225734074503</c:v>
                </c:pt>
                <c:pt idx="3">
                  <c:v>18.741216587259604</c:v>
                </c:pt>
                <c:pt idx="4">
                  <c:v>13.033207440444702</c:v>
                </c:pt>
                <c:pt idx="5">
                  <c:v>7.3251982936297999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'Proton reduction'!$H$142</c:f>
              <c:strCache>
                <c:ptCount val="1"/>
                <c:pt idx="0">
                  <c:v>343.15</c:v>
                </c:pt>
              </c:strCache>
            </c:strRef>
          </c:tx>
          <c:spPr>
            <a:ln>
              <a:solidFill>
                <a:schemeClr val="tx1"/>
              </a:solidFill>
              <a:prstDash val="sysDot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reduction'!$K$142:$P$142</c:f>
              <c:numCache>
                <c:formatCode>General</c:formatCode>
                <c:ptCount val="6"/>
                <c:pt idx="0">
                  <c:v>33.190722851773636</c:v>
                </c:pt>
                <c:pt idx="1">
                  <c:v>26.621199663011158</c:v>
                </c:pt>
                <c:pt idx="2">
                  <c:v>20.05167647424868</c:v>
                </c:pt>
                <c:pt idx="3">
                  <c:v>13.482153285486199</c:v>
                </c:pt>
                <c:pt idx="4">
                  <c:v>6.9126300967237206</c:v>
                </c:pt>
                <c:pt idx="5">
                  <c:v>0.34310690796123566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'Proton reduction'!$H$148</c:f>
              <c:strCache>
                <c:ptCount val="1"/>
                <c:pt idx="0">
                  <c:v>298.15</c:v>
                </c:pt>
              </c:strCache>
            </c:strRef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reduction'!$K$148:$P$148</c:f>
              <c:numCache>
                <c:formatCode>General</c:formatCode>
                <c:ptCount val="6"/>
                <c:pt idx="0">
                  <c:v>20.427644027704311</c:v>
                </c:pt>
                <c:pt idx="1">
                  <c:v>14.719634880889409</c:v>
                </c:pt>
                <c:pt idx="2">
                  <c:v>9.0116257340745083</c:v>
                </c:pt>
                <c:pt idx="3">
                  <c:v>3.3036165872596079</c:v>
                </c:pt>
                <c:pt idx="4">
                  <c:v>-2.4043925595552942</c:v>
                </c:pt>
                <c:pt idx="5">
                  <c:v>-8.1124017063701963</c:v>
                </c:pt>
              </c:numCache>
            </c:numRef>
          </c:yVal>
          <c:smooth val="1"/>
        </c:ser>
        <c:ser>
          <c:idx val="3"/>
          <c:order val="3"/>
          <c:tx>
            <c:strRef>
              <c:f>'Proton reduction'!$H$149</c:f>
              <c:strCache>
                <c:ptCount val="1"/>
                <c:pt idx="0">
                  <c:v>343.15</c:v>
                </c:pt>
              </c:strCache>
            </c:strRef>
          </c:tx>
          <c:spPr>
            <a:ln>
              <a:solidFill>
                <a:schemeClr val="tx1"/>
              </a:solidFill>
              <a:prstDash val="dash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reduction'!$K$149:$P$149</c:f>
              <c:numCache>
                <c:formatCode>General</c:formatCode>
                <c:ptCount val="6"/>
                <c:pt idx="0">
                  <c:v>13.400642556620195</c:v>
                </c:pt>
                <c:pt idx="1">
                  <c:v>6.831119367857716</c:v>
                </c:pt>
                <c:pt idx="2">
                  <c:v>0.26159617909523725</c:v>
                </c:pt>
                <c:pt idx="3">
                  <c:v>-6.3079270096672424</c:v>
                </c:pt>
                <c:pt idx="4">
                  <c:v>-12.87745019842972</c:v>
                </c:pt>
                <c:pt idx="5">
                  <c:v>-19.446973387192205</c:v>
                </c:pt>
              </c:numCache>
            </c:numRef>
          </c:yVal>
          <c:smooth val="1"/>
        </c:ser>
        <c:ser>
          <c:idx val="5"/>
          <c:order val="4"/>
          <c:tx>
            <c:strRef>
              <c:f>'Proton reduction'!$H$153</c:f>
              <c:strCache>
                <c:ptCount val="1"/>
              </c:strCache>
            </c:strRef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reduction'!$K$153:$P$153</c:f>
              <c:numCache>
                <c:formatCode>General</c:formatCode>
                <c:ptCount val="6"/>
                <c:pt idx="0">
                  <c:v>28.146444027704309</c:v>
                </c:pt>
                <c:pt idx="1">
                  <c:v>22.438434880889407</c:v>
                </c:pt>
                <c:pt idx="2">
                  <c:v>16.730425734074505</c:v>
                </c:pt>
                <c:pt idx="3">
                  <c:v>11.022416587259606</c:v>
                </c:pt>
                <c:pt idx="4">
                  <c:v>5.3144074404447039</c:v>
                </c:pt>
                <c:pt idx="5">
                  <c:v>-0.3936017063701982</c:v>
                </c:pt>
              </c:numCache>
            </c:numRef>
          </c:yVal>
          <c:smooth val="1"/>
        </c:ser>
        <c:ser>
          <c:idx val="4"/>
          <c:order val="5"/>
          <c:tx>
            <c:strRef>
              <c:f>'Proton reduction'!$H$154</c:f>
              <c:strCache>
                <c:ptCount val="1"/>
              </c:strCache>
            </c:strRef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none"/>
          </c:marker>
          <c:xVal>
            <c:numRef>
              <c:f>'Proton reduction'!$K$135:$P$135</c:f>
              <c:numCache>
                <c:formatCode>General</c:formatCode>
                <c:ptCount val="6"/>
                <c:pt idx="0">
                  <c:v>1</c:v>
                </c:pt>
                <c:pt idx="1">
                  <c:v>0.1</c:v>
                </c:pt>
                <c:pt idx="2">
                  <c:v>0.01</c:v>
                </c:pt>
                <c:pt idx="3">
                  <c:v>1E-3</c:v>
                </c:pt>
                <c:pt idx="4">
                  <c:v>1E-4</c:v>
                </c:pt>
                <c:pt idx="5">
                  <c:v>1.0000000000000001E-5</c:v>
                </c:pt>
              </c:numCache>
            </c:numRef>
          </c:xVal>
          <c:yVal>
            <c:numRef>
              <c:f>'Proton reduction'!$K$154:$P$154</c:f>
              <c:numCache>
                <c:formatCode>General</c:formatCode>
                <c:ptCount val="6"/>
                <c:pt idx="0">
                  <c:v>23.295682704196913</c:v>
                </c:pt>
                <c:pt idx="1">
                  <c:v>16.726159515434436</c:v>
                </c:pt>
                <c:pt idx="2">
                  <c:v>10.156636326671958</c:v>
                </c:pt>
                <c:pt idx="3">
                  <c:v>3.5871131379094781</c:v>
                </c:pt>
                <c:pt idx="4">
                  <c:v>-2.9824100508529998</c:v>
                </c:pt>
                <c:pt idx="5">
                  <c:v>-9.5519332396154848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975808"/>
        <c:axId val="105977728"/>
      </c:scatterChart>
      <c:valAx>
        <c:axId val="105975808"/>
        <c:scaling>
          <c:logBase val="10"/>
          <c:orientation val="maxMin"/>
          <c:min val="1.0000000000000003E-5"/>
        </c:scaling>
        <c:delete val="0"/>
        <c:axPos val="b"/>
        <c:title>
          <c:tx>
            <c:rich>
              <a:bodyPr/>
              <a:lstStyle/>
              <a:p>
                <a:pPr>
                  <a:defRPr sz="800"/>
                </a:pPr>
                <a:r>
                  <a:rPr lang="en-GB" sz="800"/>
                  <a:t>H</a:t>
                </a:r>
                <a:r>
                  <a:rPr lang="en-GB" sz="800" baseline="-25000"/>
                  <a:t>2 </a:t>
                </a:r>
                <a:r>
                  <a:rPr lang="en-GB" sz="800" baseline="0"/>
                  <a:t>Concentration (M)</a:t>
                </a:r>
              </a:p>
            </c:rich>
          </c:tx>
          <c:overlay val="0"/>
        </c:title>
        <c:numFmt formatCode="General" sourceLinked="1"/>
        <c:majorTickMark val="out"/>
        <c:minorTickMark val="in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700"/>
            </a:pPr>
            <a:endParaRPr lang="en-US"/>
          </a:p>
        </c:txPr>
        <c:crossAx val="105977728"/>
        <c:crosses val="autoZero"/>
        <c:crossBetween val="midCat"/>
        <c:majorUnit val="10"/>
      </c:valAx>
      <c:valAx>
        <c:axId val="105977728"/>
        <c:scaling>
          <c:orientation val="minMax"/>
          <c:max val="40"/>
          <c:min val="-20"/>
        </c:scaling>
        <c:delete val="0"/>
        <c:axPos val="r"/>
        <c:majorGridlines/>
        <c:title>
          <c:tx>
            <c:rich>
              <a:bodyPr rot="-5400000" vert="horz"/>
              <a:lstStyle/>
              <a:p>
                <a:pPr>
                  <a:defRPr sz="800"/>
                </a:pPr>
                <a:r>
                  <a:rPr lang="el-GR" sz="800" b="1" i="0" u="none" strike="noStrike" baseline="0">
                    <a:effectLst/>
                  </a:rPr>
                  <a:t>Δ</a:t>
                </a:r>
                <a:r>
                  <a:rPr lang="en-GB" sz="800" b="1" i="0" u="none" strike="noStrike" baseline="0">
                    <a:effectLst/>
                  </a:rPr>
                  <a:t>G′ (kJ/mol)</a:t>
                </a:r>
                <a:endParaRPr lang="en-GB" sz="800"/>
              </a:p>
            </c:rich>
          </c:tx>
          <c:layout>
            <c:manualLayout>
              <c:xMode val="edge"/>
              <c:yMode val="edge"/>
              <c:x val="2.8095534522651927E-2"/>
              <c:y val="0.31898015873015872"/>
            </c:manualLayout>
          </c:layout>
          <c:overlay val="0"/>
        </c:title>
        <c:numFmt formatCode="General" sourceLinked="1"/>
        <c:majorTickMark val="in"/>
        <c:minorTickMark val="out"/>
        <c:tickLblPos val="high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700"/>
            </a:pPr>
            <a:endParaRPr lang="en-US"/>
          </a:p>
        </c:txPr>
        <c:crossAx val="105975808"/>
        <c:crosses val="autoZero"/>
        <c:crossBetween val="midCat"/>
        <c:minorUnit val="5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608439</xdr:colOff>
      <xdr:row>156</xdr:row>
      <xdr:rowOff>188882</xdr:rowOff>
    </xdr:from>
    <xdr:to>
      <xdr:col>12</xdr:col>
      <xdr:colOff>1268</xdr:colOff>
      <xdr:row>170</xdr:row>
      <xdr:rowOff>41882</xdr:rowOff>
    </xdr:to>
    <xdr:graphicFrame macro="">
      <xdr:nvGraphicFramePr>
        <xdr:cNvPr id="4" name="Chart 3"/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0.88759</cdr:x>
      <cdr:y>0.43279</cdr:y>
    </cdr:from>
    <cdr:to>
      <cdr:x>0.99674</cdr:x>
      <cdr:y>0.51321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2871670" y="1090638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25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0.89086</cdr:x>
      <cdr:y>0.54195</cdr:y>
    </cdr:from>
    <cdr:to>
      <cdr:x>1</cdr:x>
      <cdr:y>0.62237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2882233" y="1365713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25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0.89086</cdr:x>
      <cdr:y>0.50323</cdr:y>
    </cdr:from>
    <cdr:to>
      <cdr:x>1</cdr:x>
      <cdr:y>0.58365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2882233" y="1268141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70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0.89086</cdr:x>
      <cdr:y>0.62861</cdr:y>
    </cdr:from>
    <cdr:to>
      <cdr:x>1</cdr:x>
      <cdr:y>0.70903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2882233" y="1584093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25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0.89086</cdr:x>
      <cdr:y>0.66548</cdr:y>
    </cdr:from>
    <cdr:to>
      <cdr:x>1</cdr:x>
      <cdr:y>0.74591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2882233" y="1677019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70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0.89086</cdr:x>
      <cdr:y>0.78164</cdr:y>
    </cdr:from>
    <cdr:to>
      <cdr:x>1</cdr:x>
      <cdr:y>0.86206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2882233" y="1969739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700"/>
            <a:t>70</a:t>
          </a:r>
          <a:r>
            <a:rPr lang="en-GB" sz="700" baseline="30000"/>
            <a:t>o</a:t>
          </a:r>
          <a:r>
            <a:rPr lang="en-GB" sz="700"/>
            <a:t>C</a:t>
          </a:r>
          <a:endParaRPr lang="en-GB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0.10914</cdr:x>
      <cdr:y>0.08042</cdr:y>
    </cdr:to>
    <cdr:sp macro="" textlink="">
      <cdr:nvSpPr>
        <cdr:cNvPr id="15" name="TextBox 1"/>
        <cdr:cNvSpPr txBox="1"/>
      </cdr:nvSpPr>
      <cdr:spPr>
        <a:xfrm xmlns:a="http://schemas.openxmlformats.org/drawingml/2006/main">
          <a:off x="0" y="0"/>
          <a:ext cx="353121" cy="2026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GB" sz="1400" b="1"/>
            <a:t>b</a:t>
          </a:r>
          <a:endParaRPr lang="en-GB" sz="2800" b="1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70"/>
  <sheetViews>
    <sheetView tabSelected="1" zoomScaleNormal="100" workbookViewId="0">
      <selection activeCell="P23" sqref="P23"/>
    </sheetView>
  </sheetViews>
  <sheetFormatPr defaultRowHeight="15" x14ac:dyDescent="0.25"/>
  <cols>
    <col min="12" max="12" width="12" bestFit="1" customWidth="1"/>
    <col min="16" max="16" width="9.5703125" bestFit="1" customWidth="1"/>
    <col min="17" max="17" width="9.42578125" bestFit="1" customWidth="1"/>
    <col min="18" max="18" width="10" bestFit="1" customWidth="1"/>
    <col min="19" max="19" width="11" bestFit="1" customWidth="1"/>
  </cols>
  <sheetData>
    <row r="2" spans="1:18" ht="18.75" x14ac:dyDescent="0.35">
      <c r="B2" s="10" t="s">
        <v>65</v>
      </c>
    </row>
    <row r="3" spans="1:18" ht="15.75" x14ac:dyDescent="0.25">
      <c r="B3" s="10"/>
    </row>
    <row r="4" spans="1:18" ht="15.75" x14ac:dyDescent="0.25">
      <c r="B4" s="10"/>
    </row>
    <row r="5" spans="1:18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ht="17.25" x14ac:dyDescent="0.25">
      <c r="E7" t="s">
        <v>18</v>
      </c>
      <c r="K7" t="s">
        <v>58</v>
      </c>
      <c r="L7" t="s">
        <v>31</v>
      </c>
      <c r="M7" t="s">
        <v>35</v>
      </c>
      <c r="N7" t="s">
        <v>36</v>
      </c>
    </row>
    <row r="8" spans="1:18" x14ac:dyDescent="0.25">
      <c r="B8" t="s">
        <v>5</v>
      </c>
      <c r="E8">
        <v>-320</v>
      </c>
      <c r="F8" s="3" t="s">
        <v>66</v>
      </c>
      <c r="K8">
        <v>25</v>
      </c>
      <c r="L8">
        <v>298.14999999999998</v>
      </c>
      <c r="M8">
        <v>-39.950000000000003</v>
      </c>
      <c r="N8">
        <v>7</v>
      </c>
    </row>
    <row r="9" spans="1:18" ht="18" x14ac:dyDescent="0.35">
      <c r="B9" t="s">
        <v>19</v>
      </c>
      <c r="E9">
        <v>-400</v>
      </c>
      <c r="F9" s="3" t="s">
        <v>66</v>
      </c>
      <c r="K9">
        <v>70</v>
      </c>
      <c r="L9">
        <f>L8-K8+K9</f>
        <v>343.15</v>
      </c>
      <c r="M9">
        <v>-42.07</v>
      </c>
      <c r="N9">
        <v>6.41</v>
      </c>
    </row>
    <row r="10" spans="1:18" x14ac:dyDescent="0.25">
      <c r="B10" t="s">
        <v>4</v>
      </c>
      <c r="E10">
        <v>-414</v>
      </c>
      <c r="F10" s="3" t="s">
        <v>66</v>
      </c>
      <c r="K10">
        <v>100</v>
      </c>
      <c r="L10">
        <f>L8-K8+K10</f>
        <v>373.15</v>
      </c>
      <c r="M10">
        <v>-43.78</v>
      </c>
      <c r="N10">
        <v>6.13</v>
      </c>
    </row>
    <row r="11" spans="1:18" ht="18.75" x14ac:dyDescent="0.35">
      <c r="L11" t="s">
        <v>34</v>
      </c>
      <c r="N11" s="3" t="s">
        <v>54</v>
      </c>
    </row>
    <row r="12" spans="1:18" x14ac:dyDescent="0.25">
      <c r="B12" t="s">
        <v>67</v>
      </c>
    </row>
    <row r="13" spans="1:18" x14ac:dyDescent="0.25">
      <c r="B13">
        <v>96485.33</v>
      </c>
    </row>
    <row r="14" spans="1:18" x14ac:dyDescent="0.25">
      <c r="B14" t="s">
        <v>12</v>
      </c>
    </row>
    <row r="15" spans="1:18" x14ac:dyDescent="0.25">
      <c r="B15">
        <v>8.3144621000000001</v>
      </c>
    </row>
    <row r="16" spans="1:18" ht="15.75" thickBo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15.75" thickTop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18" x14ac:dyDescent="0.35">
      <c r="A18" s="6"/>
      <c r="B18" s="3" t="s">
        <v>50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17.25" x14ac:dyDescent="0.25">
      <c r="A20" s="6"/>
      <c r="B20" s="6"/>
      <c r="C20" s="6"/>
      <c r="D20" s="6"/>
      <c r="E20" s="6"/>
      <c r="F20" s="6"/>
      <c r="G20" s="6" t="s">
        <v>18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x14ac:dyDescent="0.25">
      <c r="B21" t="s">
        <v>17</v>
      </c>
      <c r="E21" t="s">
        <v>4</v>
      </c>
      <c r="G21">
        <f>E10</f>
        <v>-414</v>
      </c>
      <c r="H21" t="s">
        <v>2</v>
      </c>
    </row>
    <row r="22" spans="1:18" x14ac:dyDescent="0.25">
      <c r="E22" t="s">
        <v>5</v>
      </c>
      <c r="G22">
        <f>E8</f>
        <v>-320</v>
      </c>
      <c r="H22" t="s">
        <v>2</v>
      </c>
    </row>
    <row r="24" spans="1:18" ht="17.25" x14ac:dyDescent="0.25">
      <c r="H24">
        <f>G21-G22</f>
        <v>-94</v>
      </c>
      <c r="I24" t="s">
        <v>2</v>
      </c>
      <c r="J24" t="s">
        <v>18</v>
      </c>
    </row>
    <row r="25" spans="1:18" x14ac:dyDescent="0.25">
      <c r="H25">
        <f>H24/1000</f>
        <v>-9.4E-2</v>
      </c>
      <c r="I25" t="s">
        <v>3</v>
      </c>
    </row>
    <row r="26" spans="1:18" x14ac:dyDescent="0.25">
      <c r="H26">
        <v>2</v>
      </c>
      <c r="J26" t="s">
        <v>6</v>
      </c>
    </row>
    <row r="27" spans="1:18" x14ac:dyDescent="0.25">
      <c r="H27">
        <v>96.484999999999999</v>
      </c>
      <c r="I27" t="s">
        <v>1</v>
      </c>
      <c r="J27" t="s">
        <v>0</v>
      </c>
    </row>
    <row r="28" spans="1:18" ht="17.25" x14ac:dyDescent="0.25">
      <c r="G28" s="1" t="s">
        <v>10</v>
      </c>
      <c r="H28">
        <f>-H26*H27*H25</f>
        <v>18.13918</v>
      </c>
      <c r="I28" t="s">
        <v>1</v>
      </c>
      <c r="K28" t="s">
        <v>20</v>
      </c>
    </row>
    <row r="30" spans="1:18" ht="18.75" x14ac:dyDescent="0.35">
      <c r="B30" t="s">
        <v>19</v>
      </c>
      <c r="G30" t="s">
        <v>18</v>
      </c>
    </row>
    <row r="31" spans="1:18" x14ac:dyDescent="0.25">
      <c r="E31" t="s">
        <v>4</v>
      </c>
      <c r="G31">
        <f>E10</f>
        <v>-414</v>
      </c>
      <c r="H31" t="s">
        <v>2</v>
      </c>
    </row>
    <row r="32" spans="1:18" ht="18" x14ac:dyDescent="0.35">
      <c r="E32" t="s">
        <v>19</v>
      </c>
      <c r="G32">
        <f>E9</f>
        <v>-400</v>
      </c>
      <c r="H32" t="s">
        <v>2</v>
      </c>
    </row>
    <row r="34" spans="1:18" ht="17.25" x14ac:dyDescent="0.25">
      <c r="H34">
        <f>G31-G32</f>
        <v>-14</v>
      </c>
      <c r="I34" t="s">
        <v>2</v>
      </c>
      <c r="J34" t="s">
        <v>18</v>
      </c>
    </row>
    <row r="35" spans="1:18" x14ac:dyDescent="0.25">
      <c r="H35">
        <f>H34/1000</f>
        <v>-1.4E-2</v>
      </c>
      <c r="I35" t="s">
        <v>3</v>
      </c>
    </row>
    <row r="36" spans="1:18" x14ac:dyDescent="0.25">
      <c r="H36">
        <v>2</v>
      </c>
      <c r="J36" t="s">
        <v>6</v>
      </c>
    </row>
    <row r="37" spans="1:18" x14ac:dyDescent="0.25">
      <c r="H37">
        <v>96.484999999999999</v>
      </c>
      <c r="I37" t="s">
        <v>1</v>
      </c>
      <c r="J37" t="s">
        <v>0</v>
      </c>
    </row>
    <row r="38" spans="1:18" ht="17.25" x14ac:dyDescent="0.25">
      <c r="G38" s="1" t="s">
        <v>10</v>
      </c>
      <c r="H38">
        <f>-H36*H37*H35</f>
        <v>2.7015799999999999</v>
      </c>
      <c r="I38" t="s">
        <v>1</v>
      </c>
      <c r="K38" t="s">
        <v>20</v>
      </c>
    </row>
    <row r="40" spans="1:18" ht="15.75" thickBo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ht="15.75" thickTop="1" x14ac:dyDescent="0.25"/>
    <row r="42" spans="1:18" x14ac:dyDescent="0.25">
      <c r="B42" s="3" t="s">
        <v>61</v>
      </c>
    </row>
    <row r="44" spans="1:18" x14ac:dyDescent="0.25">
      <c r="B44" t="s">
        <v>21</v>
      </c>
      <c r="D44" s="1" t="s">
        <v>22</v>
      </c>
    </row>
    <row r="46" spans="1:18" x14ac:dyDescent="0.25">
      <c r="A46" s="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</row>
    <row r="47" spans="1:18" x14ac:dyDescent="0.25">
      <c r="A47" s="6"/>
    </row>
    <row r="48" spans="1:18" ht="18.75" x14ac:dyDescent="0.35">
      <c r="B48" t="s">
        <v>49</v>
      </c>
    </row>
    <row r="49" spans="1:18" x14ac:dyDescent="0.25">
      <c r="A49" s="6"/>
      <c r="B49" s="6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pans="1:18" ht="17.25" x14ac:dyDescent="0.25">
      <c r="A50" s="6"/>
      <c r="B50" s="6"/>
      <c r="C50" t="s">
        <v>15</v>
      </c>
      <c r="D50" s="6"/>
      <c r="E50" s="6"/>
      <c r="F50" s="2" t="s">
        <v>25</v>
      </c>
      <c r="G50" s="6">
        <f>H28+M8</f>
        <v>-21.810820000000003</v>
      </c>
      <c r="H50" s="6"/>
      <c r="I50" s="7" t="s">
        <v>52</v>
      </c>
      <c r="J50" s="6"/>
      <c r="K50" s="6"/>
      <c r="L50" s="6"/>
      <c r="M50" s="6"/>
      <c r="N50" s="6"/>
      <c r="O50" s="6"/>
      <c r="P50" s="6"/>
      <c r="Q50" s="6"/>
      <c r="R50" s="6"/>
    </row>
    <row r="51" spans="1:18" x14ac:dyDescent="0.25">
      <c r="F51" s="1" t="s">
        <v>26</v>
      </c>
      <c r="G51">
        <v>29.2</v>
      </c>
      <c r="I51" s="7" t="s">
        <v>52</v>
      </c>
    </row>
    <row r="52" spans="1:18" ht="17.25" x14ac:dyDescent="0.25">
      <c r="F52" t="s">
        <v>11</v>
      </c>
      <c r="G52">
        <v>298.14999999999998</v>
      </c>
      <c r="J52" t="s">
        <v>28</v>
      </c>
    </row>
    <row r="55" spans="1:18" x14ac:dyDescent="0.25">
      <c r="F55" s="1" t="s">
        <v>27</v>
      </c>
      <c r="G55">
        <f>(G50-G51)/(-G52)</f>
        <v>0.17109112862653028</v>
      </c>
    </row>
    <row r="57" spans="1:18" ht="17.25" x14ac:dyDescent="0.25">
      <c r="C57" t="s">
        <v>39</v>
      </c>
      <c r="F57" t="s">
        <v>29</v>
      </c>
      <c r="K57" t="s">
        <v>32</v>
      </c>
      <c r="L57">
        <f>N8</f>
        <v>7</v>
      </c>
      <c r="N57" t="s">
        <v>28</v>
      </c>
    </row>
    <row r="58" spans="1:18" x14ac:dyDescent="0.25">
      <c r="K58" t="s">
        <v>33</v>
      </c>
      <c r="L58">
        <f>10^-L57</f>
        <v>9.9999999999999995E-8</v>
      </c>
    </row>
    <row r="59" spans="1:18" ht="17.25" x14ac:dyDescent="0.25">
      <c r="F59" t="s">
        <v>30</v>
      </c>
      <c r="G59" s="3">
        <f>G50-(B15*L8/1000)*LN(L58)</f>
        <v>18.145244027704312</v>
      </c>
    </row>
    <row r="60" spans="1:18" x14ac:dyDescent="0.25">
      <c r="I60" s="3"/>
    </row>
    <row r="62" spans="1:18" x14ac:dyDescent="0.25"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1:18" ht="17.25" x14ac:dyDescent="0.25">
      <c r="C63" t="s">
        <v>16</v>
      </c>
      <c r="F63" s="1" t="s">
        <v>27</v>
      </c>
      <c r="G63">
        <f>G55</f>
        <v>0.17109112862653028</v>
      </c>
    </row>
    <row r="64" spans="1:18" x14ac:dyDescent="0.25">
      <c r="F64" s="1" t="s">
        <v>26</v>
      </c>
      <c r="G64">
        <v>29.2</v>
      </c>
    </row>
    <row r="65" spans="3:18" x14ac:dyDescent="0.25">
      <c r="F65" t="s">
        <v>11</v>
      </c>
      <c r="G65">
        <f>L9</f>
        <v>343.15</v>
      </c>
    </row>
    <row r="67" spans="3:18" x14ac:dyDescent="0.25">
      <c r="F67" s="1" t="s">
        <v>25</v>
      </c>
      <c r="G67">
        <f>G64-G65*G63</f>
        <v>-29.509920788193863</v>
      </c>
    </row>
    <row r="69" spans="3:18" ht="17.25" x14ac:dyDescent="0.25">
      <c r="C69" t="s">
        <v>39</v>
      </c>
      <c r="F69" t="s">
        <v>30</v>
      </c>
      <c r="G69" s="3">
        <f>G67-(B15*L9/1000)*LN(L70)</f>
        <v>12.600722851773636</v>
      </c>
      <c r="K69" t="s">
        <v>32</v>
      </c>
      <c r="L69">
        <f>N9</f>
        <v>6.41</v>
      </c>
      <c r="N69" t="s">
        <v>37</v>
      </c>
    </row>
    <row r="70" spans="3:18" x14ac:dyDescent="0.25">
      <c r="I70" s="3"/>
      <c r="K70" t="s">
        <v>33</v>
      </c>
      <c r="L70">
        <f>10^-L69</f>
        <v>3.8904514499428027E-7</v>
      </c>
    </row>
    <row r="72" spans="3:18" x14ac:dyDescent="0.25"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3:18" ht="17.25" x14ac:dyDescent="0.25">
      <c r="C73" t="s">
        <v>53</v>
      </c>
      <c r="F73" s="1" t="s">
        <v>27</v>
      </c>
      <c r="G73">
        <f>G55</f>
        <v>0.17109112862653028</v>
      </c>
    </row>
    <row r="74" spans="3:18" x14ac:dyDescent="0.25">
      <c r="F74" s="1" t="s">
        <v>26</v>
      </c>
      <c r="G74">
        <v>29.2</v>
      </c>
    </row>
    <row r="75" spans="3:18" x14ac:dyDescent="0.25">
      <c r="F75" t="s">
        <v>11</v>
      </c>
      <c r="G75">
        <f>L10</f>
        <v>373.15</v>
      </c>
    </row>
    <row r="77" spans="3:18" x14ac:dyDescent="0.25">
      <c r="F77" s="1" t="s">
        <v>25</v>
      </c>
      <c r="G77">
        <f>G74-G75*G73</f>
        <v>-34.642654646989769</v>
      </c>
    </row>
    <row r="79" spans="3:18" ht="17.25" x14ac:dyDescent="0.25">
      <c r="C79" t="s">
        <v>39</v>
      </c>
      <c r="F79" t="s">
        <v>30</v>
      </c>
      <c r="G79" s="3">
        <f>G77-(B15*L10/1000)*LN(L80)</f>
        <v>9.1492432182166752</v>
      </c>
      <c r="K79" t="s">
        <v>32</v>
      </c>
      <c r="L79">
        <f>N10</f>
        <v>6.13</v>
      </c>
      <c r="N79" t="s">
        <v>38</v>
      </c>
    </row>
    <row r="80" spans="3:18" x14ac:dyDescent="0.25">
      <c r="H80" s="3"/>
      <c r="K80" t="s">
        <v>33</v>
      </c>
      <c r="L80">
        <f>10^-N10</f>
        <v>7.4131024130091606E-7</v>
      </c>
    </row>
    <row r="82" spans="1:18" x14ac:dyDescent="0.25">
      <c r="A82" s="6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</row>
    <row r="83" spans="1:18" x14ac:dyDescent="0.25">
      <c r="A83" s="6"/>
    </row>
    <row r="84" spans="1:18" ht="18.75" x14ac:dyDescent="0.35">
      <c r="B84" t="s">
        <v>51</v>
      </c>
    </row>
    <row r="85" spans="1:18" x14ac:dyDescent="0.25">
      <c r="A85" s="6"/>
      <c r="B85" s="6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</row>
    <row r="86" spans="1:18" ht="17.25" x14ac:dyDescent="0.25">
      <c r="A86" s="6"/>
      <c r="B86" s="6"/>
      <c r="C86" t="s">
        <v>15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</row>
    <row r="87" spans="1:18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</row>
    <row r="88" spans="1:18" ht="18.75" x14ac:dyDescent="0.35">
      <c r="A88" s="6"/>
      <c r="C88" t="s">
        <v>24</v>
      </c>
      <c r="F88" t="s">
        <v>23</v>
      </c>
      <c r="G88">
        <v>-21.3</v>
      </c>
      <c r="I88" s="3" t="s">
        <v>57</v>
      </c>
      <c r="O88" s="6"/>
      <c r="P88" s="6"/>
      <c r="Q88" s="6"/>
      <c r="R88" s="6"/>
    </row>
    <row r="89" spans="1:18" ht="18.75" x14ac:dyDescent="0.35">
      <c r="A89" s="6"/>
      <c r="C89" t="s">
        <v>48</v>
      </c>
      <c r="F89" t="s">
        <v>23</v>
      </c>
      <c r="G89">
        <f>-2*G88</f>
        <v>42.6</v>
      </c>
      <c r="I89" s="3"/>
      <c r="O89" s="6"/>
      <c r="P89" s="6"/>
      <c r="Q89" s="6"/>
      <c r="R89" s="6"/>
    </row>
    <row r="90" spans="1:18" x14ac:dyDescent="0.25">
      <c r="A90" s="6"/>
      <c r="I90" s="3"/>
      <c r="O90" s="6"/>
      <c r="P90" s="6"/>
      <c r="Q90" s="6"/>
      <c r="R90" s="6"/>
    </row>
    <row r="91" spans="1:18" x14ac:dyDescent="0.25">
      <c r="A91" s="6"/>
      <c r="F91" s="1" t="s">
        <v>25</v>
      </c>
      <c r="G91">
        <f>H38+M8</f>
        <v>-37.248420000000003</v>
      </c>
      <c r="I91" s="3" t="s">
        <v>60</v>
      </c>
      <c r="O91" s="6"/>
      <c r="P91" s="6"/>
      <c r="Q91" s="6"/>
      <c r="R91" s="6"/>
    </row>
    <row r="92" spans="1:18" x14ac:dyDescent="0.25">
      <c r="A92" s="6"/>
      <c r="F92" t="s">
        <v>11</v>
      </c>
      <c r="G92">
        <v>298.14999999999998</v>
      </c>
      <c r="O92" s="6"/>
      <c r="P92" s="6"/>
      <c r="Q92" s="6"/>
      <c r="R92" s="6"/>
    </row>
    <row r="93" spans="1:18" x14ac:dyDescent="0.25">
      <c r="A93" s="6"/>
      <c r="O93" s="6"/>
      <c r="P93" s="6"/>
      <c r="Q93" s="6"/>
      <c r="R93" s="6"/>
    </row>
    <row r="94" spans="1:18" x14ac:dyDescent="0.25">
      <c r="A94" s="6"/>
      <c r="F94" s="1" t="s">
        <v>27</v>
      </c>
      <c r="G94">
        <f>(G91-G89)/(-G92)</f>
        <v>0.26781291296327353</v>
      </c>
      <c r="O94" s="6"/>
      <c r="P94" s="6"/>
      <c r="Q94" s="6"/>
      <c r="R94" s="6"/>
    </row>
    <row r="96" spans="1:18" ht="17.25" x14ac:dyDescent="0.25">
      <c r="C96" t="s">
        <v>39</v>
      </c>
      <c r="F96" t="s">
        <v>29</v>
      </c>
      <c r="K96" t="s">
        <v>32</v>
      </c>
      <c r="L96">
        <f>N8</f>
        <v>7</v>
      </c>
      <c r="N96" t="s">
        <v>28</v>
      </c>
    </row>
    <row r="97" spans="3:18" x14ac:dyDescent="0.25">
      <c r="K97" t="s">
        <v>33</v>
      </c>
      <c r="L97">
        <f>10^-L96</f>
        <v>9.9999999999999995E-8</v>
      </c>
    </row>
    <row r="98" spans="3:18" ht="17.25" x14ac:dyDescent="0.25">
      <c r="F98" t="s">
        <v>30</v>
      </c>
      <c r="G98" s="3">
        <f>G91-(B15*L8/1000)*LN(L97)</f>
        <v>2.7076440277043119</v>
      </c>
    </row>
    <row r="99" spans="3:18" x14ac:dyDescent="0.25">
      <c r="G99">
        <f>G91-1*M8</f>
        <v>2.7015799999999999</v>
      </c>
      <c r="H99" s="3"/>
    </row>
    <row r="101" spans="3:18" x14ac:dyDescent="0.25"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</row>
    <row r="102" spans="3:18" ht="17.25" x14ac:dyDescent="0.25">
      <c r="C102" t="s">
        <v>16</v>
      </c>
      <c r="F102" s="1" t="s">
        <v>27</v>
      </c>
      <c r="G102">
        <f>G94</f>
        <v>0.26781291296327353</v>
      </c>
    </row>
    <row r="103" spans="3:18" x14ac:dyDescent="0.25">
      <c r="F103" s="1" t="s">
        <v>26</v>
      </c>
      <c r="G103">
        <f>G89</f>
        <v>42.6</v>
      </c>
    </row>
    <row r="104" spans="3:18" x14ac:dyDescent="0.25">
      <c r="F104" t="s">
        <v>11</v>
      </c>
      <c r="G104">
        <f>L9</f>
        <v>343.15</v>
      </c>
    </row>
    <row r="106" spans="3:18" x14ac:dyDescent="0.25">
      <c r="F106" s="1" t="s">
        <v>25</v>
      </c>
      <c r="G106">
        <f>G103-G104*G102</f>
        <v>-49.300001083347304</v>
      </c>
    </row>
    <row r="108" spans="3:18" ht="17.25" x14ac:dyDescent="0.25">
      <c r="C108" t="s">
        <v>39</v>
      </c>
      <c r="F108" t="s">
        <v>30</v>
      </c>
      <c r="G108" s="3">
        <f>G106-(B15*L9/1000)*LN(L109)</f>
        <v>-7.1893574433798051</v>
      </c>
      <c r="K108" t="s">
        <v>32</v>
      </c>
      <c r="L108">
        <f>N9</f>
        <v>6.41</v>
      </c>
      <c r="N108" t="s">
        <v>37</v>
      </c>
    </row>
    <row r="109" spans="3:18" x14ac:dyDescent="0.25">
      <c r="G109">
        <f>G106-M9</f>
        <v>-7.2300010833473038</v>
      </c>
      <c r="H109" s="3"/>
      <c r="K109" t="s">
        <v>33</v>
      </c>
      <c r="L109">
        <f>10^-L108</f>
        <v>3.8904514499428027E-7</v>
      </c>
    </row>
    <row r="111" spans="3:18" x14ac:dyDescent="0.25"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</row>
    <row r="112" spans="3:18" ht="17.25" x14ac:dyDescent="0.25">
      <c r="C112" t="s">
        <v>53</v>
      </c>
      <c r="F112" s="1" t="s">
        <v>27</v>
      </c>
      <c r="G112">
        <f>G94</f>
        <v>0.26781291296327353</v>
      </c>
    </row>
    <row r="113" spans="1:18" x14ac:dyDescent="0.25">
      <c r="F113" s="1" t="s">
        <v>26</v>
      </c>
      <c r="G113">
        <f>G89</f>
        <v>42.6</v>
      </c>
    </row>
    <row r="114" spans="1:18" x14ac:dyDescent="0.25">
      <c r="F114" t="s">
        <v>11</v>
      </c>
      <c r="G114">
        <f>L10</f>
        <v>373.15</v>
      </c>
    </row>
    <row r="116" spans="1:18" x14ac:dyDescent="0.25">
      <c r="F116" s="1" t="s">
        <v>25</v>
      </c>
      <c r="G116">
        <f>G113-G114*G112</f>
        <v>-57.334388472245514</v>
      </c>
    </row>
    <row r="118" spans="1:18" ht="17.25" x14ac:dyDescent="0.25">
      <c r="C118" t="s">
        <v>39</v>
      </c>
      <c r="F118" t="s">
        <v>30</v>
      </c>
      <c r="G118" s="3">
        <f>G116-(B15*L10/1000)*LN(L119)</f>
        <v>-13.54249060703907</v>
      </c>
      <c r="K118" t="s">
        <v>32</v>
      </c>
      <c r="L118">
        <f>N10</f>
        <v>6.13</v>
      </c>
      <c r="N118" t="s">
        <v>37</v>
      </c>
    </row>
    <row r="119" spans="1:18" x14ac:dyDescent="0.25">
      <c r="G119">
        <f>G116-M10</f>
        <v>-13.554388472245513</v>
      </c>
      <c r="H119" s="3"/>
      <c r="K119" t="s">
        <v>33</v>
      </c>
      <c r="L119">
        <f>10^-L118</f>
        <v>7.4131024130091606E-7</v>
      </c>
    </row>
    <row r="121" spans="1:18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</row>
    <row r="123" spans="1:18" x14ac:dyDescent="0.25">
      <c r="B123" s="3" t="s">
        <v>63</v>
      </c>
      <c r="C123" s="3"/>
    </row>
    <row r="124" spans="1:18" ht="18.75" x14ac:dyDescent="0.35">
      <c r="B124" s="3" t="s">
        <v>64</v>
      </c>
      <c r="C124" s="3"/>
      <c r="G124" t="s">
        <v>30</v>
      </c>
      <c r="I124" s="3" t="s">
        <v>54</v>
      </c>
    </row>
    <row r="125" spans="1:18" ht="18.75" x14ac:dyDescent="0.35">
      <c r="F125" t="s">
        <v>58</v>
      </c>
      <c r="G125" t="s">
        <v>55</v>
      </c>
      <c r="H125" t="s">
        <v>56</v>
      </c>
      <c r="J125" t="s">
        <v>59</v>
      </c>
    </row>
    <row r="126" spans="1:18" x14ac:dyDescent="0.25">
      <c r="F126">
        <v>25</v>
      </c>
      <c r="G126">
        <v>0</v>
      </c>
      <c r="H126">
        <v>17.72</v>
      </c>
      <c r="J126">
        <f>H126-G126</f>
        <v>17.72</v>
      </c>
    </row>
    <row r="127" spans="1:18" x14ac:dyDescent="0.25">
      <c r="F127">
        <v>70</v>
      </c>
      <c r="G127">
        <v>-5.97</v>
      </c>
      <c r="H127">
        <v>14.62</v>
      </c>
      <c r="J127">
        <f t="shared" ref="J127:J128" si="0">H127-G127</f>
        <v>20.59</v>
      </c>
    </row>
    <row r="128" spans="1:18" x14ac:dyDescent="0.25">
      <c r="F128">
        <v>100</v>
      </c>
      <c r="G128">
        <v>-10.050000000000001</v>
      </c>
      <c r="H128">
        <v>12.08</v>
      </c>
      <c r="J128">
        <f t="shared" si="0"/>
        <v>22.130000000000003</v>
      </c>
    </row>
    <row r="130" spans="1:19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2" spans="1:19" ht="18" x14ac:dyDescent="0.35">
      <c r="B132" s="3" t="s">
        <v>62</v>
      </c>
    </row>
    <row r="134" spans="1:19" x14ac:dyDescent="0.25">
      <c r="G134" t="s">
        <v>12</v>
      </c>
      <c r="K134" t="s">
        <v>7</v>
      </c>
      <c r="N134" t="s">
        <v>8</v>
      </c>
      <c r="Q134" t="s">
        <v>9</v>
      </c>
    </row>
    <row r="135" spans="1:19" x14ac:dyDescent="0.25">
      <c r="G135">
        <v>8.3144621000000001</v>
      </c>
      <c r="J135" s="1"/>
      <c r="K135">
        <v>1</v>
      </c>
      <c r="L135">
        <v>0.1</v>
      </c>
      <c r="M135">
        <v>0.01</v>
      </c>
      <c r="N135">
        <v>1E-3</v>
      </c>
      <c r="O135">
        <v>1E-4</v>
      </c>
      <c r="P135">
        <v>1.0000000000000001E-5</v>
      </c>
      <c r="Q135" s="8">
        <v>9.9999999999999995E-7</v>
      </c>
      <c r="R135" s="8">
        <v>9.9999999999999995E-8</v>
      </c>
      <c r="S135" s="8">
        <v>1E-8</v>
      </c>
    </row>
    <row r="136" spans="1:19" x14ac:dyDescent="0.25">
      <c r="J136" t="s">
        <v>42</v>
      </c>
      <c r="K136">
        <f>LN(K135)</f>
        <v>0</v>
      </c>
      <c r="L136">
        <f>LN(L135)</f>
        <v>-2.3025850929940455</v>
      </c>
      <c r="M136">
        <f t="shared" ref="M136:S136" si="1">LN(M135)</f>
        <v>-4.6051701859880909</v>
      </c>
      <c r="N136">
        <f t="shared" si="1"/>
        <v>-6.9077552789821368</v>
      </c>
      <c r="O136">
        <f t="shared" si="1"/>
        <v>-9.2103403719761818</v>
      </c>
      <c r="P136">
        <f t="shared" si="1"/>
        <v>-11.512925464970229</v>
      </c>
      <c r="Q136" s="8">
        <f t="shared" si="1"/>
        <v>-13.815510557964274</v>
      </c>
      <c r="R136" s="8">
        <f t="shared" si="1"/>
        <v>-16.11809565095832</v>
      </c>
      <c r="S136" s="8">
        <f t="shared" si="1"/>
        <v>-18.420680743952367</v>
      </c>
    </row>
    <row r="137" spans="1:19" x14ac:dyDescent="0.25">
      <c r="Q137" s="8"/>
      <c r="R137" s="8"/>
      <c r="S137" s="8"/>
    </row>
    <row r="138" spans="1:19" ht="18.75" x14ac:dyDescent="0.35">
      <c r="C138" t="s">
        <v>49</v>
      </c>
      <c r="F138" s="5" t="s">
        <v>30</v>
      </c>
      <c r="G138" s="5"/>
      <c r="Q138" s="8"/>
      <c r="R138" s="8"/>
      <c r="S138" s="8"/>
    </row>
    <row r="139" spans="1:19" x14ac:dyDescent="0.25">
      <c r="C139" s="3"/>
      <c r="Q139" s="8"/>
      <c r="R139" s="8"/>
      <c r="S139" s="8"/>
    </row>
    <row r="140" spans="1:19" ht="18" x14ac:dyDescent="0.35">
      <c r="F140" t="s">
        <v>55</v>
      </c>
      <c r="G140" t="s">
        <v>56</v>
      </c>
      <c r="H140" t="s">
        <v>11</v>
      </c>
      <c r="I140" t="s">
        <v>40</v>
      </c>
      <c r="Q140" s="8"/>
      <c r="R140" s="8"/>
      <c r="S140" s="8"/>
    </row>
    <row r="141" spans="1:19" x14ac:dyDescent="0.25">
      <c r="F141">
        <f>G59</f>
        <v>18.145244027704312</v>
      </c>
      <c r="G141">
        <f>F141+J126</f>
        <v>35.865244027704307</v>
      </c>
      <c r="H141">
        <f>L8</f>
        <v>298.14999999999998</v>
      </c>
      <c r="I141">
        <f>$G$135*H141/1000</f>
        <v>2.4789568751150002</v>
      </c>
      <c r="K141">
        <f>$G$141+$I$141*K136</f>
        <v>35.865244027704307</v>
      </c>
      <c r="L141">
        <f t="shared" ref="L141:S141" si="2">$G$141+$I$141*L136</f>
        <v>30.157234880889405</v>
      </c>
      <c r="M141">
        <f t="shared" si="2"/>
        <v>24.449225734074503</v>
      </c>
      <c r="N141">
        <f t="shared" si="2"/>
        <v>18.741216587259604</v>
      </c>
      <c r="O141">
        <f t="shared" si="2"/>
        <v>13.033207440444702</v>
      </c>
      <c r="P141">
        <f t="shared" si="2"/>
        <v>7.3251982936297999</v>
      </c>
      <c r="Q141" s="8">
        <f>$G$141+$I$141*Q136</f>
        <v>1.6171891468149013</v>
      </c>
      <c r="R141" s="8">
        <f t="shared" si="2"/>
        <v>-4.0908200000000079</v>
      </c>
      <c r="S141" s="8">
        <f t="shared" si="2"/>
        <v>-9.79882914681491</v>
      </c>
    </row>
    <row r="142" spans="1:19" x14ac:dyDescent="0.25">
      <c r="F142">
        <f>G69</f>
        <v>12.600722851773636</v>
      </c>
      <c r="G142">
        <f>F142+J127</f>
        <v>33.190722851773636</v>
      </c>
      <c r="H142">
        <f>L9</f>
        <v>343.15</v>
      </c>
      <c r="I142">
        <f t="shared" ref="I142:I143" si="3">$G$135*H142/1000</f>
        <v>2.853107669615</v>
      </c>
      <c r="K142">
        <f>$G$142+$I$142*K136</f>
        <v>33.190722851773636</v>
      </c>
      <c r="L142">
        <f t="shared" ref="L142:S142" si="4">$G$142+$I$142*L136</f>
        <v>26.621199663011158</v>
      </c>
      <c r="M142">
        <f t="shared" si="4"/>
        <v>20.05167647424868</v>
      </c>
      <c r="N142">
        <f t="shared" si="4"/>
        <v>13.482153285486199</v>
      </c>
      <c r="O142">
        <f t="shared" si="4"/>
        <v>6.9126300967237206</v>
      </c>
      <c r="P142">
        <f t="shared" si="4"/>
        <v>0.34310690796123566</v>
      </c>
      <c r="Q142" s="8">
        <f t="shared" si="4"/>
        <v>-6.2264162808012387</v>
      </c>
      <c r="R142" s="8">
        <f t="shared" si="4"/>
        <v>-12.79593946956372</v>
      </c>
      <c r="S142" s="8">
        <f t="shared" si="4"/>
        <v>-19.365462658326209</v>
      </c>
    </row>
    <row r="143" spans="1:19" x14ac:dyDescent="0.25">
      <c r="F143">
        <f>G79</f>
        <v>9.1492432182166752</v>
      </c>
      <c r="G143">
        <f>F143+J128</f>
        <v>31.279243218216678</v>
      </c>
      <c r="H143">
        <f>L10</f>
        <v>373.15</v>
      </c>
      <c r="I143">
        <f t="shared" si="3"/>
        <v>3.1025415326150001</v>
      </c>
      <c r="K143">
        <f>$G$143+$I$143*K136</f>
        <v>31.279243218216678</v>
      </c>
      <c r="L143">
        <f t="shared" ref="L143:S143" si="5">$G$143+$I$143*L136</f>
        <v>24.135377334822479</v>
      </c>
      <c r="M143">
        <f t="shared" si="5"/>
        <v>16.991511451428281</v>
      </c>
      <c r="N143">
        <f t="shared" si="5"/>
        <v>9.847645568034082</v>
      </c>
      <c r="O143">
        <f t="shared" si="5"/>
        <v>2.7037796846398834</v>
      </c>
      <c r="P143">
        <f t="shared" si="5"/>
        <v>-4.4400861987543152</v>
      </c>
      <c r="Q143" s="8">
        <f t="shared" si="5"/>
        <v>-11.583952082148514</v>
      </c>
      <c r="R143" s="8">
        <f t="shared" si="5"/>
        <v>-18.727817965542719</v>
      </c>
      <c r="S143" s="8">
        <f t="shared" si="5"/>
        <v>-25.871683848936918</v>
      </c>
    </row>
    <row r="144" spans="1:19" x14ac:dyDescent="0.25">
      <c r="Q144" s="8"/>
      <c r="R144" s="8"/>
      <c r="S144" s="8"/>
    </row>
    <row r="145" spans="3:19" ht="18.75" x14ac:dyDescent="0.35">
      <c r="C145" t="s">
        <v>48</v>
      </c>
      <c r="F145" s="5" t="s">
        <v>30</v>
      </c>
      <c r="G145" s="5"/>
      <c r="Q145" s="8"/>
      <c r="R145" s="8"/>
      <c r="S145" s="8"/>
    </row>
    <row r="146" spans="3:19" x14ac:dyDescent="0.25">
      <c r="Q146" s="8"/>
      <c r="R146" s="8"/>
      <c r="S146" s="8"/>
    </row>
    <row r="147" spans="3:19" ht="18" x14ac:dyDescent="0.35">
      <c r="F147" t="s">
        <v>55</v>
      </c>
      <c r="G147" t="s">
        <v>56</v>
      </c>
      <c r="H147" t="s">
        <v>11</v>
      </c>
      <c r="I147" t="s">
        <v>40</v>
      </c>
      <c r="Q147" s="8"/>
      <c r="R147" s="8"/>
      <c r="S147" s="8"/>
    </row>
    <row r="148" spans="3:19" x14ac:dyDescent="0.25">
      <c r="F148">
        <f>G98</f>
        <v>2.7076440277043119</v>
      </c>
      <c r="G148">
        <f>F148+J126</f>
        <v>20.427644027704311</v>
      </c>
      <c r="H148">
        <f>H141</f>
        <v>298.14999999999998</v>
      </c>
      <c r="I148">
        <f>$G$135*H148/1000</f>
        <v>2.4789568751150002</v>
      </c>
      <c r="K148">
        <f>$G$148+$I$148*K136</f>
        <v>20.427644027704311</v>
      </c>
      <c r="L148">
        <f t="shared" ref="L148:S148" si="6">$G$148+$I$148*L136</f>
        <v>14.719634880889409</v>
      </c>
      <c r="M148">
        <f t="shared" si="6"/>
        <v>9.0116257340745083</v>
      </c>
      <c r="N148">
        <f t="shared" si="6"/>
        <v>3.3036165872596079</v>
      </c>
      <c r="O148">
        <f t="shared" si="6"/>
        <v>-2.4043925595552942</v>
      </c>
      <c r="P148">
        <f t="shared" si="6"/>
        <v>-8.1124017063701963</v>
      </c>
      <c r="Q148" s="8">
        <f t="shared" si="6"/>
        <v>-13.820410853185095</v>
      </c>
      <c r="R148" s="8">
        <f t="shared" si="6"/>
        <v>-19.528420000000004</v>
      </c>
      <c r="S148" s="8">
        <f t="shared" si="6"/>
        <v>-25.236429146814906</v>
      </c>
    </row>
    <row r="149" spans="3:19" x14ac:dyDescent="0.25">
      <c r="F149">
        <f>G108</f>
        <v>-7.1893574433798051</v>
      </c>
      <c r="G149">
        <f>F149+J127</f>
        <v>13.400642556620195</v>
      </c>
      <c r="H149">
        <f>H142</f>
        <v>343.15</v>
      </c>
      <c r="I149">
        <f t="shared" ref="I149:I150" si="7">$G$135*H149/1000</f>
        <v>2.853107669615</v>
      </c>
      <c r="K149">
        <f>$G$149+$I$149*K136</f>
        <v>13.400642556620195</v>
      </c>
      <c r="L149">
        <f t="shared" ref="L149:S149" si="8">$G$149+$I$149*L136</f>
        <v>6.831119367857716</v>
      </c>
      <c r="M149">
        <f t="shared" si="8"/>
        <v>0.26159617909523725</v>
      </c>
      <c r="N149">
        <f t="shared" si="8"/>
        <v>-6.3079270096672424</v>
      </c>
      <c r="O149">
        <f t="shared" si="8"/>
        <v>-12.87745019842972</v>
      </c>
      <c r="P149">
        <f t="shared" si="8"/>
        <v>-19.446973387192205</v>
      </c>
      <c r="Q149" s="8">
        <f t="shared" si="8"/>
        <v>-26.01649657595468</v>
      </c>
      <c r="R149" s="8">
        <f t="shared" si="8"/>
        <v>-32.586019764717165</v>
      </c>
      <c r="S149" s="8">
        <f t="shared" si="8"/>
        <v>-39.155542953479653</v>
      </c>
    </row>
    <row r="150" spans="3:19" x14ac:dyDescent="0.25">
      <c r="F150">
        <f>G118</f>
        <v>-13.54249060703907</v>
      </c>
      <c r="G150">
        <f>F150+J128</f>
        <v>8.5875093929609321</v>
      </c>
      <c r="H150">
        <f>H143</f>
        <v>373.15</v>
      </c>
      <c r="I150">
        <f t="shared" si="7"/>
        <v>3.1025415326150001</v>
      </c>
      <c r="K150">
        <f>$G$150+$I$150*K136</f>
        <v>8.5875093929609321</v>
      </c>
      <c r="L150">
        <f t="shared" ref="L150:S150" si="9">$G$150+$I$150*L136</f>
        <v>1.4436435095667335</v>
      </c>
      <c r="M150">
        <f t="shared" si="9"/>
        <v>-5.7002223738274651</v>
      </c>
      <c r="N150">
        <f t="shared" si="9"/>
        <v>-12.844088257221664</v>
      </c>
      <c r="O150">
        <f t="shared" si="9"/>
        <v>-19.987954140615862</v>
      </c>
      <c r="P150">
        <f t="shared" si="9"/>
        <v>-27.131820024010061</v>
      </c>
      <c r="Q150" s="8">
        <f t="shared" si="9"/>
        <v>-34.275685907404259</v>
      </c>
      <c r="R150" s="8">
        <f t="shared" si="9"/>
        <v>-41.419551790798465</v>
      </c>
      <c r="S150" s="8">
        <f t="shared" si="9"/>
        <v>-48.563417674192664</v>
      </c>
    </row>
    <row r="151" spans="3:19" x14ac:dyDescent="0.25">
      <c r="Q151" s="8"/>
      <c r="R151" s="8"/>
      <c r="S151" s="8"/>
    </row>
    <row r="152" spans="3:19" x14ac:dyDescent="0.25">
      <c r="Q152" s="8"/>
      <c r="R152" s="8"/>
      <c r="S152" s="8"/>
    </row>
    <row r="153" spans="3:19" ht="18.75" x14ac:dyDescent="0.35">
      <c r="C153" t="s">
        <v>47</v>
      </c>
      <c r="K153">
        <f>(K141+K148)/2</f>
        <v>28.146444027704309</v>
      </c>
      <c r="L153">
        <f t="shared" ref="L153:S153" si="10">(L141+L148)/2</f>
        <v>22.438434880889407</v>
      </c>
      <c r="M153">
        <f t="shared" si="10"/>
        <v>16.730425734074505</v>
      </c>
      <c r="N153">
        <f t="shared" si="10"/>
        <v>11.022416587259606</v>
      </c>
      <c r="O153">
        <f t="shared" si="10"/>
        <v>5.3144074404447039</v>
      </c>
      <c r="P153">
        <f t="shared" si="10"/>
        <v>-0.3936017063701982</v>
      </c>
      <c r="Q153" s="8">
        <f t="shared" si="10"/>
        <v>-6.1016108531850968</v>
      </c>
      <c r="R153" s="8">
        <f t="shared" si="10"/>
        <v>-11.809620000000006</v>
      </c>
      <c r="S153" s="8">
        <f t="shared" si="10"/>
        <v>-17.517629146814908</v>
      </c>
    </row>
    <row r="154" spans="3:19" x14ac:dyDescent="0.25">
      <c r="C154" t="s">
        <v>46</v>
      </c>
      <c r="K154">
        <f>(K142+K149)/2</f>
        <v>23.295682704196913</v>
      </c>
      <c r="L154">
        <f t="shared" ref="K154:S155" si="11">(L142+L149)/2</f>
        <v>16.726159515434436</v>
      </c>
      <c r="M154">
        <f t="shared" si="11"/>
        <v>10.156636326671958</v>
      </c>
      <c r="N154">
        <f t="shared" si="11"/>
        <v>3.5871131379094781</v>
      </c>
      <c r="O154">
        <f t="shared" si="11"/>
        <v>-2.9824100508529998</v>
      </c>
      <c r="P154">
        <f t="shared" si="11"/>
        <v>-9.5519332396154848</v>
      </c>
      <c r="Q154" s="8">
        <f t="shared" si="11"/>
        <v>-16.121456428377961</v>
      </c>
      <c r="R154" s="8">
        <f t="shared" si="11"/>
        <v>-22.690979617140442</v>
      </c>
      <c r="S154" s="8">
        <f t="shared" si="11"/>
        <v>-29.260502805902931</v>
      </c>
    </row>
    <row r="155" spans="3:19" x14ac:dyDescent="0.25">
      <c r="K155">
        <f t="shared" si="11"/>
        <v>19.933376305588805</v>
      </c>
      <c r="L155">
        <f t="shared" si="11"/>
        <v>12.789510422194606</v>
      </c>
      <c r="M155">
        <f t="shared" si="11"/>
        <v>5.6456445388004077</v>
      </c>
      <c r="N155">
        <f t="shared" si="11"/>
        <v>-1.4982213445937909</v>
      </c>
      <c r="O155">
        <f t="shared" si="11"/>
        <v>-8.6420872279879895</v>
      </c>
      <c r="P155">
        <f t="shared" si="11"/>
        <v>-15.785953111382188</v>
      </c>
      <c r="Q155" s="8">
        <f t="shared" si="11"/>
        <v>-22.929818994776387</v>
      </c>
      <c r="R155" s="8">
        <f t="shared" si="11"/>
        <v>-30.073684878170592</v>
      </c>
      <c r="S155" s="8">
        <f t="shared" si="11"/>
        <v>-37.217550761564794</v>
      </c>
    </row>
    <row r="158" spans="3:19" x14ac:dyDescent="0.25">
      <c r="N158" s="3" t="s">
        <v>41</v>
      </c>
      <c r="P158" t="s">
        <v>43</v>
      </c>
      <c r="Q158" t="s">
        <v>44</v>
      </c>
      <c r="R158" t="s">
        <v>45</v>
      </c>
    </row>
    <row r="160" spans="3:19" x14ac:dyDescent="0.25">
      <c r="P160" t="s">
        <v>7</v>
      </c>
      <c r="Q160" t="s">
        <v>7</v>
      </c>
      <c r="R160" t="s">
        <v>7</v>
      </c>
    </row>
    <row r="161" spans="14:18" x14ac:dyDescent="0.25">
      <c r="N161" t="s">
        <v>13</v>
      </c>
      <c r="O161" s="1"/>
      <c r="P161" s="9">
        <f>(EXP((-K141)/I141))</f>
        <v>5.2081166344802411E-7</v>
      </c>
      <c r="Q161" s="9">
        <f>(EXP((-K148)/I148))</f>
        <v>2.6377363128822018E-4</v>
      </c>
      <c r="R161" s="9">
        <f>(EXP((-K153)/I148))</f>
        <v>1.1720767196943369E-5</v>
      </c>
    </row>
    <row r="162" spans="14:18" x14ac:dyDescent="0.25">
      <c r="N162" t="s">
        <v>14</v>
      </c>
      <c r="O162" s="1"/>
      <c r="P162" s="9">
        <f>(EXP((-K142)/I142))</f>
        <v>8.866922978049437E-6</v>
      </c>
      <c r="Q162" s="9">
        <f>(EXP((-K149)/I149))</f>
        <v>9.1238962905752109E-3</v>
      </c>
      <c r="R162" s="9">
        <f>(EXP((-K154)/I149))</f>
        <v>2.8443080998415317E-4</v>
      </c>
    </row>
    <row r="164" spans="14:18" x14ac:dyDescent="0.25">
      <c r="P164" t="s">
        <v>8</v>
      </c>
      <c r="Q164" t="s">
        <v>8</v>
      </c>
      <c r="R164" t="s">
        <v>8</v>
      </c>
    </row>
    <row r="165" spans="14:18" x14ac:dyDescent="0.25">
      <c r="P165">
        <f t="shared" ref="P165:R166" si="12">P161*1000</f>
        <v>5.208116634480241E-4</v>
      </c>
      <c r="Q165">
        <f t="shared" si="12"/>
        <v>0.26377363128822018</v>
      </c>
      <c r="R165">
        <f t="shared" si="12"/>
        <v>1.172076719694337E-2</v>
      </c>
    </row>
    <row r="166" spans="14:18" x14ac:dyDescent="0.25">
      <c r="P166">
        <f t="shared" si="12"/>
        <v>8.8669229780494376E-3</v>
      </c>
      <c r="Q166">
        <f t="shared" si="12"/>
        <v>9.1238962905752103</v>
      </c>
      <c r="R166">
        <f t="shared" si="12"/>
        <v>0.28443080998415315</v>
      </c>
    </row>
    <row r="168" spans="14:18" x14ac:dyDescent="0.25">
      <c r="P168" t="s">
        <v>9</v>
      </c>
      <c r="Q168" t="s">
        <v>9</v>
      </c>
      <c r="R168" t="s">
        <v>9</v>
      </c>
    </row>
    <row r="169" spans="14:18" x14ac:dyDescent="0.25">
      <c r="P169">
        <f t="shared" ref="P169:R170" si="13">P161*1000*1000</f>
        <v>0.5208116634480241</v>
      </c>
      <c r="Q169">
        <f t="shared" si="13"/>
        <v>263.7736312882202</v>
      </c>
      <c r="R169">
        <f t="shared" si="13"/>
        <v>11.72076719694337</v>
      </c>
    </row>
    <row r="170" spans="14:18" x14ac:dyDescent="0.25">
      <c r="P170">
        <f t="shared" si="13"/>
        <v>8.8669229780494376</v>
      </c>
      <c r="Q170">
        <f t="shared" si="13"/>
        <v>9123.8962905752105</v>
      </c>
      <c r="R170">
        <f t="shared" si="13"/>
        <v>284.43080998415314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Proton reduction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Bielen, Bram</dc:creator>
  <cp:lastModifiedBy>Bielen, Bram</cp:lastModifiedBy>
  <cp:lastPrinted>2012-10-30T13:24:12Z</cp:lastPrinted>
  <dcterms:created xsi:type="dcterms:W3CDTF">2012-10-23T11:36:10Z</dcterms:created>
  <dcterms:modified xsi:type="dcterms:W3CDTF">2013-01-06T14:23:55Z</dcterms:modified>
</cp:coreProperties>
</file>